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Sheet1" sheetId="1" r:id="rId1"/>
    <sheet name="Sheet2" sheetId="2" r:id="rId2"/>
  </sheets>
  <definedNames>
    <definedName name="_xlfn._FV" hidden="1">#NAME?</definedName>
    <definedName name="_xlfn.CONCAT" hidden="1">#NAME?</definedName>
  </definedNames>
  <calcPr fullCalcOnLoad="1"/>
</workbook>
</file>

<file path=xl/comments1.xml><?xml version="1.0" encoding="utf-8"?>
<comments xmlns="http://schemas.openxmlformats.org/spreadsheetml/2006/main">
  <authors>
    <author>David Drabble</author>
  </authors>
  <commentList>
    <comment ref="B10" authorId="0">
      <text>
        <r>
          <rPr>
            <sz val="9"/>
            <rFont val="Tahoma"/>
            <family val="2"/>
          </rPr>
          <t xml:space="preserve">
Clock Freq is affected by Low Power bit:
C_LP[0:1]   Low Pass freq  Low Pass freq/ Hz
            Norm Power     Low Power
--------------------------------------------
00         180 Hz             30      Hz
01          90  Hz             15      Hz
10          45  Hz               7.5   Hz
11          22.5Hz               3.75 Hz </t>
        </r>
      </text>
    </comment>
    <comment ref="B18" authorId="0">
      <text>
        <r>
          <rPr>
            <sz val="9"/>
            <rFont val="Tahoma"/>
            <family val="2"/>
          </rPr>
          <t xml:space="preserve">
High-Pass Filter is affected by Low Power bit:
Cx_HP   High Pass Filter   High Pass Filter
[0:1]     Norm Power       Low Power
--------------------------------------------
00          1 Hz                0.17 Hz
01          2 Hz                0.33 Hz
10          4 Hz                0.66 Hz
11          8 Hz                1.30 Hz</t>
        </r>
      </text>
    </comment>
    <comment ref="B8" authorId="0">
      <text>
        <r>
          <rPr>
            <sz val="9"/>
            <rFont val="Tahoma"/>
            <family val="2"/>
          </rPr>
          <t xml:space="preserve">
Low Power bit affects the value of:
- Low Pass Frequency
- Cx High Pass Filter</t>
        </r>
        <r>
          <rPr>
            <sz val="9"/>
            <rFont val="Courier New"/>
            <family val="3"/>
          </rPr>
          <t xml:space="preserve">
</t>
        </r>
      </text>
    </comment>
    <comment ref="B24" authorId="0">
      <text>
        <r>
          <rPr>
            <sz val="9"/>
            <rFont val="Tahoma"/>
            <family val="2"/>
          </rPr>
          <t xml:space="preserve">
High-Pass Filter is affected by Low Power bit:
Cx_HP   High Pass Filter   High Pass Filter
[0:1]     Norm Power       Low Power
--------------------------------------------
00          1 Hz                0.17 Hz
01          2 Hz                0.33 Hz
10          4 Hz                0.66 Hz
11          8 Hz                1.30 Hz
</t>
        </r>
      </text>
    </comment>
    <comment ref="B30" authorId="0">
      <text>
        <r>
          <rPr>
            <sz val="9"/>
            <rFont val="Tahoma"/>
            <family val="2"/>
          </rPr>
          <t xml:space="preserve">
High-Pass Filter is affected by Low Power bit:
Cx_HP   High Pass Filter   High Pass Filter
[1:0]     Norm Power       Low Power
--------------------------------------------
00          1 Hz                0.17 Hz
01          2 Hz                0.33 Hz
10          4 Hz                0.66 Hz
11          8 Hz                1.30 Hz</t>
        </r>
      </text>
    </comment>
    <comment ref="B36" authorId="0">
      <text>
        <r>
          <rPr>
            <sz val="9"/>
            <rFont val="Tahoma"/>
            <family val="2"/>
          </rPr>
          <t xml:space="preserve">
High-Pass Filter is affected by Low Power bit:
Cx_HP   High Pass Filter   High Pass Filter
[0:1]     Norm Power       Low Power
--------------------------------------------
00          1 Hz                0.17 Hz
01          2 Hz                0.33 Hz
10          4 Hz                0.66 Hz
11          8 Hz                1.30 Hz</t>
        </r>
      </text>
    </comment>
    <comment ref="B42" authorId="0">
      <text>
        <r>
          <rPr>
            <sz val="9"/>
            <rFont val="Tahoma"/>
            <family val="2"/>
          </rPr>
          <t xml:space="preserve">
High-Pass Filter is affected by Low Power bit:
Cx_HP   High Pass Filter   High Pass Filter
[0:1]     Norm Power       Low Power
--------------------------------------------
00          1 Hz                0.17 Hz
01          2 Hz                0.33 Hz
10          4 Hz                0.66 Hz
11          8 Hz                1.30 Hz</t>
        </r>
      </text>
    </comment>
    <comment ref="B46" authorId="0">
      <text>
        <r>
          <rPr>
            <sz val="9"/>
            <rFont val="Tahoma"/>
            <family val="2"/>
          </rPr>
          <t xml:space="preserve">
UHT and ULT to detect positive wake-up event (UHT &gt; ULT)</t>
        </r>
      </text>
    </comment>
    <comment ref="B49" authorId="0">
      <text>
        <r>
          <rPr>
            <sz val="9"/>
            <rFont val="Tahoma"/>
            <family val="2"/>
          </rPr>
          <t xml:space="preserve">
UHT and ULT to detect positive wake-up event (UHT &gt; ULT)
</t>
        </r>
      </text>
    </comment>
    <comment ref="B52" authorId="0">
      <text>
        <r>
          <rPr>
            <sz val="9"/>
            <rFont val="Tahoma"/>
            <family val="2"/>
          </rPr>
          <t xml:space="preserve">
LHT and LLT to detect negative wake-up event (LHT &gt; LLT)</t>
        </r>
      </text>
    </comment>
    <comment ref="B55" authorId="0">
      <text>
        <r>
          <rPr>
            <sz val="9"/>
            <rFont val="Tahoma"/>
            <family val="2"/>
          </rPr>
          <t xml:space="preserve">
LHT and LLT to detect negative wake-up event (LHT &gt; LLT)</t>
        </r>
      </text>
    </comment>
    <comment ref="B3" authorId="0">
      <text>
        <r>
          <rPr>
            <sz val="9"/>
            <rFont val="Tahoma"/>
            <family val="2"/>
          </rPr>
          <t xml:space="preserve">
</t>
        </r>
        <r>
          <rPr>
            <b/>
            <sz val="9"/>
            <rFont val="Tahoma"/>
            <family val="2"/>
          </rPr>
          <t>Instructions:</t>
        </r>
        <r>
          <rPr>
            <sz val="9"/>
            <rFont val="Tahoma"/>
            <family val="2"/>
          </rPr>
          <t xml:space="preserve">
1. Enter Values into Column C, to configure Sample Rate, Gain, Enable Channels, Wake up thresholds, etc.
2. Register functions and valid function ranges are listed in Column B.
3. Values Meanings are decoded in Column D "Meaning". Invalid values are flagged with an "ERROR" message with a Red background in Column D
3. Register binary contents are calculated in Columns I through P
4. Equivalent Hex values are calculated in Column Q, for use in your configuration software.
5. Default Register values are listed in Column R.</t>
        </r>
      </text>
    </comment>
  </commentList>
</comments>
</file>

<file path=xl/sharedStrings.xml><?xml version="1.0" encoding="utf-8"?>
<sst xmlns="http://schemas.openxmlformats.org/spreadsheetml/2006/main" count="207" uniqueCount="174">
  <si>
    <t>Analogue Front End Packet, Byte 0</t>
  </si>
  <si>
    <t>Sampling Rate (0-255)</t>
  </si>
  <si>
    <t>Value</t>
  </si>
  <si>
    <t>Meaning</t>
  </si>
  <si>
    <t>Spl Rt7</t>
  </si>
  <si>
    <t>Spl Rt6</t>
  </si>
  <si>
    <t>Spl Rt5</t>
  </si>
  <si>
    <t>Spl Rt4</t>
  </si>
  <si>
    <t>Spl Rt3</t>
  </si>
  <si>
    <t>Spl Rt2</t>
  </si>
  <si>
    <t>Spl Rt1</t>
  </si>
  <si>
    <t>Spl Rt0</t>
  </si>
  <si>
    <t>Default Value</t>
  </si>
  <si>
    <t>AFEP Byte 0</t>
  </si>
  <si>
    <t>0x00</t>
  </si>
  <si>
    <t>Analogue Front End Packet, Byte 1</t>
  </si>
  <si>
    <t>Low Power En (0-1)</t>
  </si>
  <si>
    <t>High Pass En (0-1)</t>
  </si>
  <si>
    <t>Clk LP (0-3)</t>
  </si>
  <si>
    <t>Clk Out En (0-1)</t>
  </si>
  <si>
    <t>Sync En (0-1)</t>
  </si>
  <si>
    <t>Int En (0-1)</t>
  </si>
  <si>
    <t>Channel 0 Ctrl Packet, 
Byte 0</t>
  </si>
  <si>
    <t>Ch0 Status (0- 1)</t>
  </si>
  <si>
    <t>Ch0 Gain (0- 7)</t>
  </si>
  <si>
    <t>Ch0 High Pass (0- 3)</t>
  </si>
  <si>
    <t>Ch0 TC (0- 3)</t>
  </si>
  <si>
    <t>Channel 1 Ctrl Packet, 
Byte 1</t>
  </si>
  <si>
    <t>Ch1 Status (0- 1)</t>
  </si>
  <si>
    <t>Ch1 Gain (0- 7)</t>
  </si>
  <si>
    <t>Ch1 High Pass (0- 3)</t>
  </si>
  <si>
    <t>Ch1 TC (0- 3)</t>
  </si>
  <si>
    <t>Channel 2 Ctrl Packet, 
Byte 2</t>
  </si>
  <si>
    <t>Ch2 Status (0- 1)</t>
  </si>
  <si>
    <t>Ch2 Gain (0- 7)</t>
  </si>
  <si>
    <t>Ch2 High Pass (0- 3)</t>
  </si>
  <si>
    <t>Ch2 TC (0- 3)</t>
  </si>
  <si>
    <t>Channel 3 Ctrl Packet, 
Byte 3</t>
  </si>
  <si>
    <t>Ch3 Status (0- 1)</t>
  </si>
  <si>
    <t>Ch3 Gain (0- 7)</t>
  </si>
  <si>
    <t>Ch3 High Pass (0- 3)</t>
  </si>
  <si>
    <t>Ch3 TC (0- 3)</t>
  </si>
  <si>
    <t>Channel 4 Ctrl Packet, 
Byte 4</t>
  </si>
  <si>
    <t>Ch4 Status (0- 1)</t>
  </si>
  <si>
    <t>Ch4 Gain (0- 7)</t>
  </si>
  <si>
    <t>Ch4 High Pass (0- 3)</t>
  </si>
  <si>
    <t>Ch4 TC (0- 3)</t>
  </si>
  <si>
    <t>Wake Up Packet, Byte 0</t>
  </si>
  <si>
    <t>Upper High Threshold (00-255)</t>
  </si>
  <si>
    <t>Wake Up Packet, Byte1</t>
  </si>
  <si>
    <t>Upper Low Threshold (00-255)</t>
  </si>
  <si>
    <t>Wake Up Packet, Byte 2</t>
  </si>
  <si>
    <t>Lower High Threshold (00-255)</t>
  </si>
  <si>
    <t>Wake Up Packet, Byte 3</t>
  </si>
  <si>
    <t>Lower Low Threshold (00-255)</t>
  </si>
  <si>
    <t>Wake Up Packet, Byte 4</t>
  </si>
  <si>
    <t>Wake Time Threshold (00-255)</t>
  </si>
  <si>
    <t>Wake Up Packet, Byte5</t>
  </si>
  <si>
    <t>Sleep Type (0-1)</t>
  </si>
  <si>
    <t>Reference Channel, DP (0-7)</t>
  </si>
  <si>
    <t>Selected Channel, CH (0-7)</t>
  </si>
  <si>
    <t>AFEP Byte 1</t>
  </si>
  <si>
    <t>CCP Byte 0</t>
  </si>
  <si>
    <t>CCP Byte 1</t>
  </si>
  <si>
    <t>CCP Byte 2</t>
  </si>
  <si>
    <t>CCP Byte 3</t>
  </si>
  <si>
    <t>CCP Byte 4</t>
  </si>
  <si>
    <t>WUP Byte 0</t>
  </si>
  <si>
    <t>WUP Byte 1</t>
  </si>
  <si>
    <t>WUP Byte 2</t>
  </si>
  <si>
    <t>WUP Byte 3</t>
  </si>
  <si>
    <t>WUP Byte 4</t>
  </si>
  <si>
    <t>WUP Byte 5</t>
  </si>
  <si>
    <t>LP</t>
  </si>
  <si>
    <t>HP</t>
  </si>
  <si>
    <t>Clk LP1</t>
  </si>
  <si>
    <t>Clk LP0</t>
  </si>
  <si>
    <t>Clk Out</t>
  </si>
  <si>
    <t>Sync</t>
  </si>
  <si>
    <t>Int</t>
  </si>
  <si>
    <t>0x09</t>
  </si>
  <si>
    <t>C0_TC1</t>
  </si>
  <si>
    <t>C0_TC0</t>
  </si>
  <si>
    <t>C0_HP1</t>
  </si>
  <si>
    <t>C0_HP0</t>
  </si>
  <si>
    <t>C0_G2</t>
  </si>
  <si>
    <t>C0_G1</t>
  </si>
  <si>
    <t>C0_G0</t>
  </si>
  <si>
    <t>C0_ST</t>
  </si>
  <si>
    <t>C1_TC1</t>
  </si>
  <si>
    <t>C1_TC0</t>
  </si>
  <si>
    <t>C1_HP1</t>
  </si>
  <si>
    <t>C1_HP0</t>
  </si>
  <si>
    <t>C1_G2</t>
  </si>
  <si>
    <t>C1_G1</t>
  </si>
  <si>
    <t>C1_G0</t>
  </si>
  <si>
    <t>C1_ST</t>
  </si>
  <si>
    <t>C2_TC1</t>
  </si>
  <si>
    <t>C2_TC0</t>
  </si>
  <si>
    <t>C2_HP1</t>
  </si>
  <si>
    <t>C2_HP0</t>
  </si>
  <si>
    <t>C2_G2</t>
  </si>
  <si>
    <t>C2_G1</t>
  </si>
  <si>
    <t>C2_G0</t>
  </si>
  <si>
    <t>C2_ST</t>
  </si>
  <si>
    <t>C3_TC1</t>
  </si>
  <si>
    <t>C3_TC0</t>
  </si>
  <si>
    <t>C3_HP1</t>
  </si>
  <si>
    <t>C3_HP0</t>
  </si>
  <si>
    <t>C3_G2</t>
  </si>
  <si>
    <t>C3_G1</t>
  </si>
  <si>
    <t>C3_G0</t>
  </si>
  <si>
    <t>C3_ST</t>
  </si>
  <si>
    <t>C4_TC1</t>
  </si>
  <si>
    <t>C4_TC0</t>
  </si>
  <si>
    <t>C4_HP1</t>
  </si>
  <si>
    <t>C4_HP0</t>
  </si>
  <si>
    <t>C4_G2</t>
  </si>
  <si>
    <t>C4_G1</t>
  </si>
  <si>
    <t>C4_G0</t>
  </si>
  <si>
    <t>C4_ST</t>
  </si>
  <si>
    <t>UHT7</t>
  </si>
  <si>
    <t>UHT6</t>
  </si>
  <si>
    <t>UHT5</t>
  </si>
  <si>
    <t>UHT4</t>
  </si>
  <si>
    <t>UHT3</t>
  </si>
  <si>
    <t>UHT2</t>
  </si>
  <si>
    <t>UHT1</t>
  </si>
  <si>
    <t>UHT0</t>
  </si>
  <si>
    <t>0xFF</t>
  </si>
  <si>
    <t>0x10</t>
  </si>
  <si>
    <t>ULT7</t>
  </si>
  <si>
    <t>ULT6</t>
  </si>
  <si>
    <t>ULT5</t>
  </si>
  <si>
    <t>ULT4</t>
  </si>
  <si>
    <t>ULT3</t>
  </si>
  <si>
    <t>ULT2</t>
  </si>
  <si>
    <t>ULT1</t>
  </si>
  <si>
    <t>ULT0</t>
  </si>
  <si>
    <t>LHT7</t>
  </si>
  <si>
    <t>LHT6</t>
  </si>
  <si>
    <t>LHT5</t>
  </si>
  <si>
    <t>LHT4</t>
  </si>
  <si>
    <t>LHT3</t>
  </si>
  <si>
    <t>LHT2</t>
  </si>
  <si>
    <t>LHT1</t>
  </si>
  <si>
    <t>LHT0</t>
  </si>
  <si>
    <t>LLT7</t>
  </si>
  <si>
    <t>LLT6</t>
  </si>
  <si>
    <t>LLT5</t>
  </si>
  <si>
    <t>LLT4</t>
  </si>
  <si>
    <t>LLT3</t>
  </si>
  <si>
    <t>LLT2</t>
  </si>
  <si>
    <t>LLT1</t>
  </si>
  <si>
    <t>LLT0</t>
  </si>
  <si>
    <t>WT7</t>
  </si>
  <si>
    <t>WT6</t>
  </si>
  <si>
    <t>WT5</t>
  </si>
  <si>
    <t>WT4</t>
  </si>
  <si>
    <t>WT3</t>
  </si>
  <si>
    <t>WT2</t>
  </si>
  <si>
    <t>WT1</t>
  </si>
  <si>
    <t>WT0</t>
  </si>
  <si>
    <t>ST</t>
  </si>
  <si>
    <t>DP2</t>
  </si>
  <si>
    <t>DP1</t>
  </si>
  <si>
    <t>DP0</t>
  </si>
  <si>
    <t>CH2</t>
  </si>
  <si>
    <t>CH1</t>
  </si>
  <si>
    <t>CH0</t>
  </si>
  <si>
    <t>Only Edit Column C</t>
  </si>
  <si>
    <t>Instructions:</t>
  </si>
  <si>
    <t>Provisional Version: Validity of data must be validated by User</t>
  </si>
  <si>
    <t>Register Calculator v2.0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</si>
</sst>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5">
    <font>
      <sz val="11"/>
      <color theme="1"/>
      <name val="Calibri"/>
      <family val="2"/>
    </font>
    <font>
      <sz val="11"/>
      <color indexed="8"/>
      <name val="Calibri"/>
      <family val="2"/>
    </font>
    <font>
      <sz val="9"/>
      <name val="Tahoma"/>
      <family val="2"/>
    </font>
    <font>
      <b/>
      <sz val="9"/>
      <name val="Tahoma"/>
      <family val="2"/>
    </font>
    <font>
      <sz val="9"/>
      <name val="Courier New"/>
      <family val="3"/>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20"/>
      <color indexed="8"/>
      <name val="Arial"/>
      <family val="2"/>
    </font>
    <font>
      <sz val="11"/>
      <color indexed="8"/>
      <name val="Arial"/>
      <family val="2"/>
    </font>
    <font>
      <sz val="10"/>
      <color indexed="8"/>
      <name val="Arial"/>
      <family val="2"/>
    </font>
    <font>
      <b/>
      <sz val="10"/>
      <color indexed="8"/>
      <name val="Arial"/>
      <family val="2"/>
    </font>
    <font>
      <b/>
      <sz val="10"/>
      <color indexed="10"/>
      <name val="Arial"/>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20"/>
      <color theme="1"/>
      <name val="Arial"/>
      <family val="2"/>
    </font>
    <font>
      <sz val="11"/>
      <color theme="1"/>
      <name val="Arial"/>
      <family val="2"/>
    </font>
    <font>
      <sz val="10"/>
      <color theme="1"/>
      <name val="Arial"/>
      <family val="2"/>
    </font>
    <font>
      <b/>
      <sz val="10"/>
      <color theme="1"/>
      <name val="Arial"/>
      <family val="2"/>
    </font>
    <font>
      <b/>
      <sz val="10"/>
      <color rgb="FFFF0000"/>
      <name val="Arial"/>
      <family val="2"/>
    </font>
    <font>
      <sz val="10"/>
      <color rgb="FFFF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right/>
      <top style="double">
        <color rgb="FF000000"/>
      </top>
      <bottom style="double">
        <color rgb="FF000000"/>
      </bottom>
    </border>
    <border>
      <left style="double">
        <color rgb="FF000000"/>
      </left>
      <right/>
      <top style="double">
        <color rgb="FF000000"/>
      </top>
      <bottom style="double">
        <color rgb="FF000000"/>
      </bottom>
    </border>
    <border>
      <left/>
      <right style="double">
        <color rgb="FF000000"/>
      </right>
      <top style="double">
        <color rgb="FF000000"/>
      </top>
      <bottom style="double">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
    <xf numFmtId="0" fontId="0"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wrapText="1"/>
    </xf>
    <xf numFmtId="0" fontId="51" fillId="0" borderId="0" xfId="0" applyFont="1" applyAlignment="1">
      <alignment/>
    </xf>
    <xf numFmtId="0" fontId="50" fillId="0" borderId="0" xfId="0" applyFont="1" applyAlignment="1">
      <alignment textRotation="90"/>
    </xf>
    <xf numFmtId="0" fontId="50" fillId="0" borderId="0" xfId="0" applyFont="1" applyAlignment="1">
      <alignment horizontal="center"/>
    </xf>
    <xf numFmtId="0" fontId="50" fillId="0" borderId="10" xfId="0" applyFont="1" applyBorder="1" applyAlignment="1">
      <alignment horizontal="center"/>
    </xf>
    <xf numFmtId="0" fontId="50" fillId="0" borderId="11" xfId="0" applyFont="1" applyBorder="1" applyAlignment="1">
      <alignment horizontal="center"/>
    </xf>
    <xf numFmtId="0" fontId="50" fillId="0" borderId="12" xfId="0" applyFont="1" applyBorder="1" applyAlignment="1">
      <alignment horizontal="center"/>
    </xf>
    <xf numFmtId="0" fontId="50" fillId="0" borderId="13" xfId="0" applyFont="1" applyBorder="1" applyAlignment="1">
      <alignment horizontal="center"/>
    </xf>
    <xf numFmtId="0" fontId="50" fillId="0" borderId="14" xfId="0" applyFont="1" applyBorder="1" applyAlignment="1">
      <alignment horizontal="center"/>
    </xf>
    <xf numFmtId="0" fontId="50" fillId="0" borderId="15" xfId="0" applyFont="1" applyBorder="1" applyAlignment="1">
      <alignment horizontal="center"/>
    </xf>
    <xf numFmtId="0" fontId="52" fillId="0" borderId="0" xfId="0" applyFont="1" applyAlignment="1">
      <alignment/>
    </xf>
    <xf numFmtId="49" fontId="53" fillId="0" borderId="0" xfId="0" applyNumberFormat="1" applyFont="1" applyAlignment="1">
      <alignment/>
    </xf>
    <xf numFmtId="0" fontId="50" fillId="0" borderId="0" xfId="0" applyFont="1" applyAlignment="1" applyProtection="1">
      <alignment horizontal="center"/>
      <protection locked="0"/>
    </xf>
    <xf numFmtId="0" fontId="53" fillId="0" borderId="0" xfId="0" applyFont="1" applyAlignment="1">
      <alignment/>
    </xf>
    <xf numFmtId="0" fontId="5" fillId="0" borderId="0" xfId="0" applyFont="1" applyAlignment="1">
      <alignment wrapText="1"/>
    </xf>
    <xf numFmtId="14" fontId="50"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285750</xdr:colOff>
      <xdr:row>0</xdr:row>
      <xdr:rowOff>209550</xdr:rowOff>
    </xdr:from>
    <xdr:to>
      <xdr:col>21</xdr:col>
      <xdr:colOff>76200</xdr:colOff>
      <xdr:row>3</xdr:row>
      <xdr:rowOff>304800</xdr:rowOff>
    </xdr:to>
    <xdr:pic>
      <xdr:nvPicPr>
        <xdr:cNvPr id="1" name="Picture 1" descr="Logo&#10;&#10;Description automatically generated"/>
        <xdr:cNvPicPr preferRelativeResize="1">
          <a:picLocks noChangeAspect="1"/>
        </xdr:cNvPicPr>
      </xdr:nvPicPr>
      <xdr:blipFill>
        <a:blip r:embed="rId1"/>
        <a:stretch>
          <a:fillRect/>
        </a:stretch>
      </xdr:blipFill>
      <xdr:spPr>
        <a:xfrm>
          <a:off x="7972425" y="209550"/>
          <a:ext cx="22574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63"/>
  <sheetViews>
    <sheetView tabSelected="1" zoomScalePageLayoutView="0" workbookViewId="0" topLeftCell="A1">
      <selection activeCell="B1" sqref="B1"/>
    </sheetView>
  </sheetViews>
  <sheetFormatPr defaultColWidth="9.140625" defaultRowHeight="15"/>
  <cols>
    <col min="1" max="1" width="8.7109375" style="3" customWidth="1"/>
    <col min="2" max="2" width="25.140625" style="3" customWidth="1"/>
    <col min="3" max="3" width="9.421875" style="3" customWidth="1"/>
    <col min="4" max="4" width="10.57421875" style="3" customWidth="1"/>
    <col min="5" max="6" width="3.421875" style="3" customWidth="1"/>
    <col min="7" max="7" width="11.57421875" style="3" customWidth="1"/>
    <col min="8" max="16" width="3.57421875" style="3" customWidth="1"/>
    <col min="17" max="18" width="10.8515625" style="3" customWidth="1"/>
    <col min="19" max="16384" width="8.7109375" style="3" customWidth="1"/>
  </cols>
  <sheetData>
    <row r="1" spans="2:7" ht="31.5" customHeight="1">
      <c r="B1" s="1" t="s">
        <v>173</v>
      </c>
      <c r="C1" s="18"/>
      <c r="G1" s="15" t="s">
        <v>172</v>
      </c>
    </row>
    <row r="2" ht="12.75">
      <c r="B2" s="19">
        <v>44095</v>
      </c>
    </row>
    <row r="3" spans="2:3" ht="12.75">
      <c r="B3" s="14" t="s">
        <v>171</v>
      </c>
      <c r="C3" s="17" t="s">
        <v>170</v>
      </c>
    </row>
    <row r="4" spans="2:18" ht="46.5" customHeight="1" thickBot="1">
      <c r="B4" s="4" t="s">
        <v>0</v>
      </c>
      <c r="C4" s="5" t="s">
        <v>2</v>
      </c>
      <c r="D4" s="5" t="s">
        <v>3</v>
      </c>
      <c r="E4"/>
      <c r="F4"/>
      <c r="G4"/>
      <c r="H4"/>
      <c r="I4" s="6" t="s">
        <v>4</v>
      </c>
      <c r="J4" s="6" t="s">
        <v>5</v>
      </c>
      <c r="K4" s="6" t="s">
        <v>6</v>
      </c>
      <c r="L4" s="6" t="s">
        <v>7</v>
      </c>
      <c r="M4" s="6" t="s">
        <v>8</v>
      </c>
      <c r="N4" s="6" t="s">
        <v>9</v>
      </c>
      <c r="O4" s="6" t="s">
        <v>10</v>
      </c>
      <c r="P4" s="6" t="s">
        <v>11</v>
      </c>
      <c r="Q4"/>
      <c r="R4" s="4" t="s">
        <v>12</v>
      </c>
    </row>
    <row r="5" spans="2:18" ht="14.25" thickBot="1" thickTop="1">
      <c r="B5" s="3" t="s">
        <v>1</v>
      </c>
      <c r="C5" s="16">
        <v>0</v>
      </c>
      <c r="D5" s="3" t="str">
        <f>IF(AND(C5&gt;=0,C5&lt;256),(C5+1)&amp;" mS "&amp;ROUND(1000/(C5+1),2)&amp;" Hz","ERROR")</f>
        <v>1 mS 1000 Hz</v>
      </c>
      <c r="G5" s="5" t="s">
        <v>13</v>
      </c>
      <c r="I5" s="8">
        <f>INT(C5/128)</f>
        <v>0</v>
      </c>
      <c r="J5" s="11">
        <f>INT((C5-128*I5)/64)</f>
        <v>0</v>
      </c>
      <c r="K5" s="11">
        <f>INT((C5-128*I5-64*J5)/32)</f>
        <v>0</v>
      </c>
      <c r="L5" s="11">
        <f>INT((C5-128*I5-64*J5-32*K5)/16)</f>
        <v>0</v>
      </c>
      <c r="M5" s="12">
        <f>INT((C5-128*I5-64*J5-32*K5-16*L5)/8)</f>
        <v>0</v>
      </c>
      <c r="N5" s="11">
        <f>INT((C5-128*I5-64*J5-32*K5-16*L5-8*M5)/4)</f>
        <v>0</v>
      </c>
      <c r="O5" s="11">
        <f>INT((C5-128*I5-64*J5-32*K5-16*L5-8*M5-4*N5)/2)</f>
        <v>0</v>
      </c>
      <c r="P5" s="13">
        <f>INT(C5-128*I5-64*J5-32*K5-16*L5-8*M5-4*N5-2*O5)</f>
        <v>0</v>
      </c>
      <c r="Q5" s="7" t="str">
        <f>IF(C5&lt;16,"0x0","0x")&amp;DEC2HEX(C5)</f>
        <v>0x00</v>
      </c>
      <c r="R5" s="7" t="s">
        <v>14</v>
      </c>
    </row>
    <row r="6" ht="15" thickTop="1">
      <c r="B6" s="2"/>
    </row>
    <row r="7" spans="2:16" ht="48" thickBot="1">
      <c r="B7" s="4" t="s">
        <v>15</v>
      </c>
      <c r="C7" s="5" t="s">
        <v>2</v>
      </c>
      <c r="D7" s="5" t="s">
        <v>3</v>
      </c>
      <c r="I7" s="6" t="s">
        <v>73</v>
      </c>
      <c r="J7" s="6" t="s">
        <v>74</v>
      </c>
      <c r="K7" s="6" t="s">
        <v>75</v>
      </c>
      <c r="L7" s="6" t="s">
        <v>76</v>
      </c>
      <c r="M7" s="6" t="s">
        <v>77</v>
      </c>
      <c r="N7" s="6" t="s">
        <v>78</v>
      </c>
      <c r="O7" s="6">
        <v>0</v>
      </c>
      <c r="P7" s="6" t="s">
        <v>79</v>
      </c>
    </row>
    <row r="8" spans="2:18" ht="14.25" thickBot="1" thickTop="1">
      <c r="B8" s="3" t="s">
        <v>16</v>
      </c>
      <c r="C8" s="16">
        <v>0</v>
      </c>
      <c r="D8" s="3" t="str">
        <f>IF(AND(C8&gt;=0,C8&lt;2),IF(C8=0,"LP Dis","LP En"),"ERROR")</f>
        <v>LP Dis</v>
      </c>
      <c r="G8" s="5" t="s">
        <v>61</v>
      </c>
      <c r="I8" s="8">
        <f>MOD(C8,2)</f>
        <v>0</v>
      </c>
      <c r="J8" s="9">
        <f>MOD(C9,2)</f>
        <v>0</v>
      </c>
      <c r="K8" s="9">
        <f>INT(C10/2)</f>
        <v>0</v>
      </c>
      <c r="L8" s="9">
        <f>INT(C10-2*K8)</f>
        <v>0</v>
      </c>
      <c r="M8" s="8">
        <f>MOD(C11,2)</f>
        <v>0</v>
      </c>
      <c r="N8" s="9">
        <f>MOD(C12,2)</f>
        <v>0</v>
      </c>
      <c r="O8" s="9">
        <f>0</f>
        <v>0</v>
      </c>
      <c r="P8" s="10">
        <f>MOD(C13,2)</f>
        <v>1</v>
      </c>
      <c r="Q8" s="7" t="str">
        <f>IF((1*P8+2*O8+4*N8+8*M8+16*L8+32*K8+64*J8+128*I8)&lt;16,"0x0","0x")&amp;DEC2HEX(1*P8+2*O8+4*N8+8*M8+16*L8+32*K8+64*J8+128*I8)</f>
        <v>0x01</v>
      </c>
      <c r="R8" s="7" t="s">
        <v>80</v>
      </c>
    </row>
    <row r="9" spans="2:7" ht="13.5" thickTop="1">
      <c r="B9" s="3" t="s">
        <v>17</v>
      </c>
      <c r="C9" s="16">
        <v>0</v>
      </c>
      <c r="D9" s="3" t="str">
        <f>IF(AND(C9&gt;=0,C9&lt;2),IF(C9=0,"HP Dis","HP En"),"ERROR")</f>
        <v>HP Dis</v>
      </c>
      <c r="G9" s="5"/>
    </row>
    <row r="10" spans="2:7" ht="12.75">
      <c r="B10" s="3" t="s">
        <v>18</v>
      </c>
      <c r="C10" s="16">
        <v>0</v>
      </c>
      <c r="D10" s="3" t="str">
        <f>IF(AND(C10&gt;=0,C10&lt;4),IF($C$8=0,180,30)/(2^C10)&amp;" Hz","ERROR")</f>
        <v>180 Hz</v>
      </c>
      <c r="G10" s="5"/>
    </row>
    <row r="11" spans="2:7" ht="12.75">
      <c r="B11" s="3" t="s">
        <v>19</v>
      </c>
      <c r="C11" s="16">
        <v>0</v>
      </c>
      <c r="D11" s="3" t="str">
        <f>IF(AND(C11&gt;=0,C11&lt;2),IF(C11=0,"Clk Out Dis","Clk Out En"),"ERROR")</f>
        <v>Clk Out Dis</v>
      </c>
      <c r="G11" s="5"/>
    </row>
    <row r="12" spans="2:7" ht="12.75">
      <c r="B12" s="3" t="s">
        <v>20</v>
      </c>
      <c r="C12" s="16">
        <v>0</v>
      </c>
      <c r="D12" s="3" t="str">
        <f>IF(AND(C12&gt;=0,C12&lt;2),IF(C12=0,"Sync Dis","Sync En"),"ERROR")</f>
        <v>Sync Dis</v>
      </c>
      <c r="G12" s="5"/>
    </row>
    <row r="13" spans="2:7" ht="12.75">
      <c r="B13" s="3" t="s">
        <v>21</v>
      </c>
      <c r="C13" s="16">
        <v>1</v>
      </c>
      <c r="D13" s="3" t="str">
        <f>IF(AND(C13&gt;=0,C13&lt;2),IF(C13=0,"Int Dis","Int En"),"ERROR")</f>
        <v>Int En</v>
      </c>
      <c r="G13" s="5"/>
    </row>
    <row r="14" spans="2:7" ht="14.25">
      <c r="B14" s="2"/>
      <c r="G14" s="5"/>
    </row>
    <row r="15" spans="2:16" ht="49.5" thickBot="1">
      <c r="B15" s="4" t="s">
        <v>22</v>
      </c>
      <c r="C15" s="5" t="s">
        <v>2</v>
      </c>
      <c r="D15" s="5" t="s">
        <v>3</v>
      </c>
      <c r="G15" s="5"/>
      <c r="I15" s="6" t="s">
        <v>81</v>
      </c>
      <c r="J15" s="6" t="s">
        <v>82</v>
      </c>
      <c r="K15" s="6" t="s">
        <v>83</v>
      </c>
      <c r="L15" s="6" t="s">
        <v>84</v>
      </c>
      <c r="M15" s="6" t="s">
        <v>85</v>
      </c>
      <c r="N15" s="6" t="s">
        <v>86</v>
      </c>
      <c r="O15" s="6" t="s">
        <v>87</v>
      </c>
      <c r="P15" s="6" t="s">
        <v>88</v>
      </c>
    </row>
    <row r="16" spans="2:18" ht="14.25" thickBot="1" thickTop="1">
      <c r="B16" s="3" t="s">
        <v>23</v>
      </c>
      <c r="C16" s="16">
        <v>1</v>
      </c>
      <c r="D16" s="3" t="str">
        <f>IF(AND(C16&gt;=0,C16&lt;2),IF(C16=0,"Ch0 Dis","Ch0 En"),"ERROR")</f>
        <v>Ch0 En</v>
      </c>
      <c r="G16" s="5" t="s">
        <v>62</v>
      </c>
      <c r="I16" s="8">
        <f>INT(C19/2)</f>
        <v>1</v>
      </c>
      <c r="J16" s="9">
        <f>MOD(C19,2)</f>
        <v>1</v>
      </c>
      <c r="K16" s="9">
        <f>INT(C18/2)</f>
        <v>1</v>
      </c>
      <c r="L16" s="9">
        <f>MOD(C18,2)</f>
        <v>0</v>
      </c>
      <c r="M16" s="8">
        <f>INT(C17/4)</f>
        <v>0</v>
      </c>
      <c r="N16" s="9">
        <f>INT((C17-4*M16)/2)</f>
        <v>0</v>
      </c>
      <c r="O16" s="9">
        <f>MOD(C17,2)</f>
        <v>0</v>
      </c>
      <c r="P16" s="10">
        <f>MOD(C16,2)</f>
        <v>1</v>
      </c>
      <c r="Q16" s="7" t="str">
        <f>IF((P16+2*O16+4*N16+8*M16+16*L16+32*K16+64*J16+128*I16)&lt;16,"0x0","0x")&amp;DEC2HEX(P16+2*O16+4*N16+8*M16+16*L16+32*K16+64*J16+128*I16)</f>
        <v>0xE1</v>
      </c>
      <c r="R16" s="7" t="s">
        <v>14</v>
      </c>
    </row>
    <row r="17" spans="2:7" ht="13.5" thickTop="1">
      <c r="B17" s="3" t="s">
        <v>24</v>
      </c>
      <c r="C17" s="16">
        <v>0</v>
      </c>
      <c r="D17" s="3" t="str">
        <f>IF(AND(C17&gt;=0,C17&lt;8),IF(OR(C17=6,C17=7),"3200 fF, 1x",50*2^C17&amp;" fF, "&amp;64/(2^C17)&amp;"x"),"ERROR")</f>
        <v>50 fF, 64x</v>
      </c>
      <c r="G17" s="5"/>
    </row>
    <row r="18" spans="2:7" ht="12.75">
      <c r="B18" s="3" t="s">
        <v>25</v>
      </c>
      <c r="C18" s="16">
        <v>2</v>
      </c>
      <c r="D18" s="3" t="str">
        <f>IF(C18&lt;4,IF($C$8=0,2^C18,IF(C18=2,"0.66",ROUND(0.004+1.3/(2^(3-C18)),2)))&amp;" Hz","ERROR")</f>
        <v>4 Hz</v>
      </c>
      <c r="G18" s="5"/>
    </row>
    <row r="19" spans="2:7" ht="12.75">
      <c r="B19" s="3" t="s">
        <v>26</v>
      </c>
      <c r="C19" s="16">
        <v>3</v>
      </c>
      <c r="D19" s="3" t="str">
        <f>IF(C19&lt;4,1.2/(2^C19)&amp;" T","ERROR")</f>
        <v>0.15 T</v>
      </c>
      <c r="G19" s="5"/>
    </row>
    <row r="20" spans="2:7" ht="14.25">
      <c r="B20" s="2"/>
      <c r="G20" s="5"/>
    </row>
    <row r="21" spans="2:16" ht="49.5" thickBot="1">
      <c r="B21" s="4" t="s">
        <v>27</v>
      </c>
      <c r="C21" s="5" t="s">
        <v>2</v>
      </c>
      <c r="D21" s="5" t="s">
        <v>3</v>
      </c>
      <c r="G21" s="5"/>
      <c r="I21" s="6" t="s">
        <v>89</v>
      </c>
      <c r="J21" s="6" t="s">
        <v>90</v>
      </c>
      <c r="K21" s="6" t="s">
        <v>91</v>
      </c>
      <c r="L21" s="6" t="s">
        <v>92</v>
      </c>
      <c r="M21" s="6" t="s">
        <v>93</v>
      </c>
      <c r="N21" s="6" t="s">
        <v>94</v>
      </c>
      <c r="O21" s="6" t="s">
        <v>95</v>
      </c>
      <c r="P21" s="6" t="s">
        <v>96</v>
      </c>
    </row>
    <row r="22" spans="2:18" ht="14.25" thickBot="1" thickTop="1">
      <c r="B22" s="3" t="s">
        <v>28</v>
      </c>
      <c r="C22" s="16">
        <v>1</v>
      </c>
      <c r="D22" s="3" t="str">
        <f>IF(AND(C22&gt;=0,C22&lt;2),IF(C22=0,"Ch1 Dis","Ch1 En"),"ERROR")</f>
        <v>Ch1 En</v>
      </c>
      <c r="G22" s="5" t="s">
        <v>63</v>
      </c>
      <c r="I22" s="8">
        <f>INT(C25/2)</f>
        <v>1</v>
      </c>
      <c r="J22" s="9">
        <f>MOD(C25,2)</f>
        <v>1</v>
      </c>
      <c r="K22" s="9">
        <f>INT(C24/2)</f>
        <v>1</v>
      </c>
      <c r="L22" s="9">
        <f>MOD(C24,2)</f>
        <v>0</v>
      </c>
      <c r="M22" s="8">
        <f>INT(C23/4)</f>
        <v>0</v>
      </c>
      <c r="N22" s="9">
        <f>INT((C23-4*M22)/2)</f>
        <v>1</v>
      </c>
      <c r="O22" s="9">
        <f>MOD(C23,2)</f>
        <v>0</v>
      </c>
      <c r="P22" s="10">
        <f>MOD(C22,2)</f>
        <v>1</v>
      </c>
      <c r="Q22" s="7" t="str">
        <f>IF((P22+2*O22+4*N22+8*M22+16*L22+32*K22+64*J22+128*I22)&lt;16,"0x0","0x")&amp;DEC2HEX(P22+2*O22+4*N22+8*M22+16*L22+32*K22+64*J22+128*I22)</f>
        <v>0xE5</v>
      </c>
      <c r="R22" s="7" t="s">
        <v>14</v>
      </c>
    </row>
    <row r="23" spans="2:7" ht="13.5" thickTop="1">
      <c r="B23" s="3" t="s">
        <v>29</v>
      </c>
      <c r="C23" s="16">
        <v>2</v>
      </c>
      <c r="D23" s="3" t="str">
        <f>IF(AND(C23&gt;=0,C23&lt;8),IF(OR(C23=6,C23=7),"3200 fF, 1x",50*2^C23&amp;" fF, "&amp;64/(2^C23)&amp;"x"),"ERROR")</f>
        <v>200 fF, 16x</v>
      </c>
      <c r="G23" s="5"/>
    </row>
    <row r="24" spans="2:7" ht="12.75">
      <c r="B24" s="3" t="s">
        <v>30</v>
      </c>
      <c r="C24" s="16">
        <v>2</v>
      </c>
      <c r="D24" s="3" t="str">
        <f>IF(C24&lt;4,IF($C$8=0,2^C24,IF(C24=2,"0.66",ROUND(0.004+1.3/(2^(3-C24)),2)))&amp;" Hz","ERROR")</f>
        <v>4 Hz</v>
      </c>
      <c r="G24" s="5"/>
    </row>
    <row r="25" spans="2:7" ht="12.75">
      <c r="B25" s="3" t="s">
        <v>31</v>
      </c>
      <c r="C25" s="16">
        <v>3</v>
      </c>
      <c r="D25" s="3" t="str">
        <f>IF(C25&lt;4,1.2/(2^C25)&amp;" T","ERROR")</f>
        <v>0.15 T</v>
      </c>
      <c r="G25" s="5"/>
    </row>
    <row r="26" ht="12.75">
      <c r="G26" s="5"/>
    </row>
    <row r="27" spans="2:16" ht="49.5" thickBot="1">
      <c r="B27" s="4" t="s">
        <v>32</v>
      </c>
      <c r="C27" s="5" t="s">
        <v>2</v>
      </c>
      <c r="D27" s="5" t="s">
        <v>3</v>
      </c>
      <c r="G27" s="5"/>
      <c r="I27" s="6" t="s">
        <v>97</v>
      </c>
      <c r="J27" s="6" t="s">
        <v>98</v>
      </c>
      <c r="K27" s="6" t="s">
        <v>99</v>
      </c>
      <c r="L27" s="6" t="s">
        <v>100</v>
      </c>
      <c r="M27" s="6" t="s">
        <v>101</v>
      </c>
      <c r="N27" s="6" t="s">
        <v>102</v>
      </c>
      <c r="O27" s="6" t="s">
        <v>103</v>
      </c>
      <c r="P27" s="6" t="s">
        <v>104</v>
      </c>
    </row>
    <row r="28" spans="2:18" ht="14.25" thickBot="1" thickTop="1">
      <c r="B28" s="3" t="s">
        <v>33</v>
      </c>
      <c r="C28" s="16">
        <v>1</v>
      </c>
      <c r="D28" s="3" t="str">
        <f>IF(AND(C28&gt;=0,C28&lt;2),IF(C28=0,"Ch2 Dis","Ch2 En"),"ERROR")</f>
        <v>Ch2 En</v>
      </c>
      <c r="G28" s="5" t="s">
        <v>64</v>
      </c>
      <c r="I28" s="8">
        <f>INT(C31/2)</f>
        <v>1</v>
      </c>
      <c r="J28" s="9">
        <f>MOD(C31,2)</f>
        <v>1</v>
      </c>
      <c r="K28" s="9">
        <f>INT(C30/2)</f>
        <v>1</v>
      </c>
      <c r="L28" s="9">
        <f>MOD(C30,2)</f>
        <v>0</v>
      </c>
      <c r="M28" s="8">
        <f>INT(C29/4)</f>
        <v>0</v>
      </c>
      <c r="N28" s="9">
        <f>INT((C29-4*M28)/2)</f>
        <v>0</v>
      </c>
      <c r="O28" s="9">
        <f>MOD(C29,2)</f>
        <v>0</v>
      </c>
      <c r="P28" s="10">
        <f>MOD(C28,2)</f>
        <v>1</v>
      </c>
      <c r="Q28" s="7" t="str">
        <f>IF((P28+2*O28+4*N28+8*M28+16*L28+32*K28+64*J28+128*I28)&lt;16,"0x0","0x")&amp;DEC2HEX(P28+2*O28+4*N28+8*M28+16*L28+32*K28+64*J28+128*I28)</f>
        <v>0xE1</v>
      </c>
      <c r="R28" s="7" t="s">
        <v>14</v>
      </c>
    </row>
    <row r="29" spans="2:7" ht="13.5" thickTop="1">
      <c r="B29" s="3" t="s">
        <v>34</v>
      </c>
      <c r="C29" s="16">
        <v>0</v>
      </c>
      <c r="D29" s="3" t="str">
        <f>IF(AND(C29&gt;=0,C29&lt;8),IF(OR(C29=6,C29=7),"3200 fF, 1x",50*2^C29&amp;" fF, "&amp;64/(2^C29)&amp;"x"),"ERROR")</f>
        <v>50 fF, 64x</v>
      </c>
      <c r="G29" s="5"/>
    </row>
    <row r="30" spans="2:7" ht="12.75">
      <c r="B30" s="3" t="s">
        <v>35</v>
      </c>
      <c r="C30" s="16">
        <v>2</v>
      </c>
      <c r="D30" s="3" t="str">
        <f>IF(C30&lt;4,IF($C$8=0,2^C30,IF(C30=2,"0.66",ROUND(0.004+1.3/(2^(3-C30)),2)))&amp;" Hz","ERROR")</f>
        <v>4 Hz</v>
      </c>
      <c r="G30" s="5"/>
    </row>
    <row r="31" spans="2:7" ht="12.75">
      <c r="B31" s="3" t="s">
        <v>36</v>
      </c>
      <c r="C31" s="16">
        <v>3</v>
      </c>
      <c r="D31" s="3" t="str">
        <f>IF(C31&lt;4,1.2/(2^C31)&amp;" T","ERROR")</f>
        <v>0.15 T</v>
      </c>
      <c r="G31" s="5"/>
    </row>
    <row r="32" spans="2:7" ht="14.25">
      <c r="B32" s="2"/>
      <c r="G32" s="5"/>
    </row>
    <row r="33" spans="2:16" ht="49.5" thickBot="1">
      <c r="B33" s="4" t="s">
        <v>37</v>
      </c>
      <c r="C33" s="5" t="s">
        <v>2</v>
      </c>
      <c r="D33" s="5" t="s">
        <v>3</v>
      </c>
      <c r="G33" s="5"/>
      <c r="I33" s="6" t="s">
        <v>105</v>
      </c>
      <c r="J33" s="6" t="s">
        <v>106</v>
      </c>
      <c r="K33" s="6" t="s">
        <v>107</v>
      </c>
      <c r="L33" s="6" t="s">
        <v>108</v>
      </c>
      <c r="M33" s="6" t="s">
        <v>109</v>
      </c>
      <c r="N33" s="6" t="s">
        <v>110</v>
      </c>
      <c r="O33" s="6" t="s">
        <v>111</v>
      </c>
      <c r="P33" s="6" t="s">
        <v>112</v>
      </c>
    </row>
    <row r="34" spans="2:18" ht="14.25" thickBot="1" thickTop="1">
      <c r="B34" s="3" t="s">
        <v>38</v>
      </c>
      <c r="C34" s="16">
        <v>1</v>
      </c>
      <c r="D34" s="3" t="str">
        <f>IF(AND(C34&gt;=0,C34&lt;2),IF(C34=0,"Ch3 Dis","Ch3 En"),"ERROR")</f>
        <v>Ch3 En</v>
      </c>
      <c r="G34" s="5" t="s">
        <v>65</v>
      </c>
      <c r="I34" s="8">
        <f>INT(C37/2)</f>
        <v>1</v>
      </c>
      <c r="J34" s="9">
        <f>MOD(C37,2)</f>
        <v>1</v>
      </c>
      <c r="K34" s="9">
        <f>INT(C36/2)</f>
        <v>1</v>
      </c>
      <c r="L34" s="9">
        <f>MOD(C36,2)</f>
        <v>0</v>
      </c>
      <c r="M34" s="8">
        <f>INT(C35/4)</f>
        <v>1</v>
      </c>
      <c r="N34" s="9">
        <f>INT((C35-4*M34)/2)</f>
        <v>0</v>
      </c>
      <c r="O34" s="9">
        <f>MOD(C35,2)</f>
        <v>1</v>
      </c>
      <c r="P34" s="10">
        <f>MOD(C34,2)</f>
        <v>1</v>
      </c>
      <c r="Q34" s="7" t="str">
        <f>IF((P34+2*O34+4*N34+8*M34+16*L34+32*K34+64*J34+128*I34)&lt;16,"0x0","0x")&amp;DEC2HEX(P34+2*O34+4*N34+8*M34+16*L34+32*K34+64*J34+128*I34)</f>
        <v>0xEB</v>
      </c>
      <c r="R34" s="7" t="s">
        <v>14</v>
      </c>
    </row>
    <row r="35" spans="2:7" ht="13.5" thickTop="1">
      <c r="B35" s="3" t="s">
        <v>39</v>
      </c>
      <c r="C35" s="16">
        <v>5</v>
      </c>
      <c r="D35" s="3" t="str">
        <f>IF(AND(C35&gt;=0,C35&lt;8),IF(OR(C35=6,C35=7),"3200 fF, 1x",50*2^C35&amp;" fF, "&amp;64/(2^C35)&amp;"x"),"ERROR")</f>
        <v>1600 fF, 2x</v>
      </c>
      <c r="G35" s="5"/>
    </row>
    <row r="36" spans="2:7" ht="12.75">
      <c r="B36" s="3" t="s">
        <v>40</v>
      </c>
      <c r="C36" s="16">
        <v>2</v>
      </c>
      <c r="D36" s="3" t="str">
        <f>IF(C36&lt;4,IF($C$8=0,2^C36,IF(C36=2,"0.66",ROUND(0.004+1.3/(2^(3-C36)),2)))&amp;" Hz","ERROR")</f>
        <v>4 Hz</v>
      </c>
      <c r="G36" s="5"/>
    </row>
    <row r="37" spans="2:7" ht="12.75">
      <c r="B37" s="3" t="s">
        <v>41</v>
      </c>
      <c r="C37" s="16">
        <v>3</v>
      </c>
      <c r="D37" s="3" t="str">
        <f>IF(C37&lt;4,1.2/(2^C37)&amp;" T","ERROR")</f>
        <v>0.15 T</v>
      </c>
      <c r="G37" s="5"/>
    </row>
    <row r="38" ht="12.75">
      <c r="G38" s="5"/>
    </row>
    <row r="39" spans="2:16" ht="49.5" thickBot="1">
      <c r="B39" s="4" t="s">
        <v>42</v>
      </c>
      <c r="C39" s="5" t="s">
        <v>2</v>
      </c>
      <c r="D39" s="5" t="s">
        <v>3</v>
      </c>
      <c r="G39" s="5"/>
      <c r="I39" s="6" t="s">
        <v>113</v>
      </c>
      <c r="J39" s="6" t="s">
        <v>114</v>
      </c>
      <c r="K39" s="6" t="s">
        <v>115</v>
      </c>
      <c r="L39" s="6" t="s">
        <v>116</v>
      </c>
      <c r="M39" s="6" t="s">
        <v>117</v>
      </c>
      <c r="N39" s="6" t="s">
        <v>118</v>
      </c>
      <c r="O39" s="6" t="s">
        <v>119</v>
      </c>
      <c r="P39" s="6" t="s">
        <v>120</v>
      </c>
    </row>
    <row r="40" spans="2:18" ht="14.25" thickBot="1" thickTop="1">
      <c r="B40" s="3" t="s">
        <v>43</v>
      </c>
      <c r="C40" s="16">
        <v>1</v>
      </c>
      <c r="D40" s="3" t="str">
        <f>IF(AND(C40&gt;=0,C40&lt;2),IF(C40=0,"Ch4 Dis","Ch4 En"),"ERROR")</f>
        <v>Ch4 En</v>
      </c>
      <c r="G40" s="5" t="s">
        <v>66</v>
      </c>
      <c r="I40" s="8">
        <f>INT(C43/2)</f>
        <v>1</v>
      </c>
      <c r="J40" s="9">
        <f>MOD(C43,2)</f>
        <v>1</v>
      </c>
      <c r="K40" s="9">
        <f>INT(C42/2)</f>
        <v>1</v>
      </c>
      <c r="L40" s="9">
        <f>MOD(C42,2)</f>
        <v>1</v>
      </c>
      <c r="M40" s="8">
        <f>INT(C41/4)</f>
        <v>1</v>
      </c>
      <c r="N40" s="9">
        <f>INT((C41-4*M40)/2)</f>
        <v>0</v>
      </c>
      <c r="O40" s="9">
        <f>MOD(C41,2)</f>
        <v>1</v>
      </c>
      <c r="P40" s="10">
        <f>MOD(C40,2)</f>
        <v>1</v>
      </c>
      <c r="Q40" s="7" t="str">
        <f>IF((P40+2*O40+4*N40+8*M40+16*L40+32*K40+64*J40+128*I40)&lt;16,"0x0","0x")&amp;DEC2HEX(P40+2*O40+4*N40+8*M40+16*L40+32*K40+64*J40+128*I40)</f>
        <v>0xFB</v>
      </c>
      <c r="R40" s="7" t="s">
        <v>14</v>
      </c>
    </row>
    <row r="41" spans="2:7" ht="13.5" thickTop="1">
      <c r="B41" s="3" t="s">
        <v>44</v>
      </c>
      <c r="C41" s="16">
        <v>5</v>
      </c>
      <c r="D41" s="3" t="str">
        <f>IF(AND(C41&gt;=0,C41&lt;8),IF(OR(C41=6,C41=7),"3200 fF, 1x",50*2^C41&amp;" fF, "&amp;64/(2^C41)&amp;"x"),"ERROR")</f>
        <v>1600 fF, 2x</v>
      </c>
      <c r="G41" s="5"/>
    </row>
    <row r="42" spans="2:7" ht="12.75">
      <c r="B42" s="3" t="s">
        <v>45</v>
      </c>
      <c r="C42" s="16">
        <v>3</v>
      </c>
      <c r="D42" s="3" t="str">
        <f>IF(C42&lt;4,IF($C$8=0,2^C42,IF(C42=2,"0.66",ROUND(0.004+1.3/(2^(3-C42)),2)))&amp;" Hz","ERROR")</f>
        <v>8 Hz</v>
      </c>
      <c r="G42" s="5"/>
    </row>
    <row r="43" spans="2:7" ht="12.75">
      <c r="B43" s="3" t="s">
        <v>46</v>
      </c>
      <c r="C43" s="16">
        <v>3</v>
      </c>
      <c r="D43" s="3" t="str">
        <f>IF(C43&lt;4,1.2/(2^C43)&amp;" T","ERROR")</f>
        <v>0.15 T</v>
      </c>
      <c r="G43" s="5"/>
    </row>
    <row r="44" ht="12.75">
      <c r="G44" s="5"/>
    </row>
    <row r="45" spans="2:16" ht="38.25" thickBot="1">
      <c r="B45" s="4" t="s">
        <v>47</v>
      </c>
      <c r="C45" s="5" t="s">
        <v>2</v>
      </c>
      <c r="D45" s="5" t="s">
        <v>3</v>
      </c>
      <c r="G45" s="5"/>
      <c r="I45" s="6" t="s">
        <v>121</v>
      </c>
      <c r="J45" s="6" t="s">
        <v>122</v>
      </c>
      <c r="K45" s="6" t="s">
        <v>123</v>
      </c>
      <c r="L45" s="6" t="s">
        <v>124</v>
      </c>
      <c r="M45" s="6" t="s">
        <v>125</v>
      </c>
      <c r="N45" s="6" t="s">
        <v>126</v>
      </c>
      <c r="O45" s="6" t="s">
        <v>127</v>
      </c>
      <c r="P45" s="6" t="s">
        <v>128</v>
      </c>
    </row>
    <row r="46" spans="2:18" ht="14.25" thickBot="1" thickTop="1">
      <c r="B46" s="3" t="s">
        <v>48</v>
      </c>
      <c r="C46" s="16">
        <v>200</v>
      </c>
      <c r="D46" s="3" t="str">
        <f>IF(AND(C46&gt;=0,C46&lt;256,C46&gt;=C49),"UHT= 0x"&amp;IF(C46&lt;16,"0","")&amp;DEC2HEX(C46),"ERROR")</f>
        <v>UHT= 0xC8</v>
      </c>
      <c r="G46" s="5" t="s">
        <v>67</v>
      </c>
      <c r="I46" s="12">
        <f>INT(C46/128)</f>
        <v>1</v>
      </c>
      <c r="J46" s="11">
        <f>INT((C46-128*I46)/64)</f>
        <v>1</v>
      </c>
      <c r="K46" s="11">
        <f>INT((C46-128*I46-64*J46)/32)</f>
        <v>0</v>
      </c>
      <c r="L46" s="11">
        <f>INT((C46-128*I46-64*J46-32*K46)/16)</f>
        <v>0</v>
      </c>
      <c r="M46" s="12">
        <f>INT((C46-128*I46-64*J46-32*K46-16*L46)/8)</f>
        <v>1</v>
      </c>
      <c r="N46" s="11">
        <f>INT((C46-128*I46-64*J46-32*K46-16*L46-8*M46)/4)</f>
        <v>0</v>
      </c>
      <c r="O46" s="11">
        <f>INT((C46-128*I46-64*J46-32*K46-16*L46-8*M46-4*N46)/2)</f>
        <v>0</v>
      </c>
      <c r="P46" s="13">
        <f>INT((C46-128*I46-64*J46-32*K46-16*L46-8*M46-4*N46-2*O46)/1)</f>
        <v>0</v>
      </c>
      <c r="Q46" s="7" t="str">
        <f>IF(C46&lt;16,"0x0","0x")&amp;DEC2HEX(C46)</f>
        <v>0xC8</v>
      </c>
      <c r="R46" s="7" t="s">
        <v>129</v>
      </c>
    </row>
    <row r="47" spans="2:18" ht="15.75" thickTop="1">
      <c r="B47" s="2"/>
      <c r="G47" s="5"/>
      <c r="Q47" s="7"/>
      <c r="R47"/>
    </row>
    <row r="48" spans="2:18" ht="36.75" thickBot="1">
      <c r="B48" s="4" t="s">
        <v>49</v>
      </c>
      <c r="C48" s="5" t="s">
        <v>2</v>
      </c>
      <c r="D48" s="5" t="s">
        <v>3</v>
      </c>
      <c r="G48" s="5"/>
      <c r="I48" s="6" t="s">
        <v>131</v>
      </c>
      <c r="J48" s="6" t="s">
        <v>132</v>
      </c>
      <c r="K48" s="6" t="s">
        <v>133</v>
      </c>
      <c r="L48" s="6" t="s">
        <v>134</v>
      </c>
      <c r="M48" s="6" t="s">
        <v>135</v>
      </c>
      <c r="N48" s="6" t="s">
        <v>136</v>
      </c>
      <c r="O48" s="6" t="s">
        <v>137</v>
      </c>
      <c r="P48" s="6" t="s">
        <v>138</v>
      </c>
      <c r="Q48" s="7"/>
      <c r="R48"/>
    </row>
    <row r="49" spans="2:18" ht="14.25" thickBot="1" thickTop="1">
      <c r="B49" s="3" t="s">
        <v>50</v>
      </c>
      <c r="C49" s="16">
        <v>50</v>
      </c>
      <c r="D49" s="3" t="str">
        <f>IF(AND(C49&gt;C52,C49&gt;=0,C49&lt;256,C46&gt;=C49),"ULT= 0x"&amp;IF(C49&lt;16,"0","")&amp;DEC2HEX(C49),"ERROR")</f>
        <v>ULT= 0x32</v>
      </c>
      <c r="G49" s="5" t="s">
        <v>68</v>
      </c>
      <c r="I49" s="12">
        <f>INT(C49/128)</f>
        <v>0</v>
      </c>
      <c r="J49" s="11">
        <f>INT((C49-128*I49)/64)</f>
        <v>0</v>
      </c>
      <c r="K49" s="11">
        <f>INT((C49-128*I49-64*J49)/32)</f>
        <v>1</v>
      </c>
      <c r="L49" s="11">
        <f>INT((C49-128*I49-64*J49-32*K49)/16)</f>
        <v>1</v>
      </c>
      <c r="M49" s="12">
        <f>INT((C49-128*I49-64*J49-32*K49-16*L49)/8)</f>
        <v>0</v>
      </c>
      <c r="N49" s="11">
        <f>INT((C49-128*I49-64*J49-32*K49-16*L49-8*M49)/4)</f>
        <v>0</v>
      </c>
      <c r="O49" s="11">
        <f>INT((C49-128*I49-64*J49-32*K49-16*L49-8*M49-4*N49)/2)</f>
        <v>1</v>
      </c>
      <c r="P49" s="13">
        <f>INT((C49-128*I49-64*J49-32*K49-16*L49-8*M49-4*N49-2*O49)/1)</f>
        <v>0</v>
      </c>
      <c r="Q49" s="7" t="str">
        <f>IF(C49&lt;16,"0x0","0x")&amp;DEC2HEX(C49)</f>
        <v>0x32</v>
      </c>
      <c r="R49" s="7" t="s">
        <v>129</v>
      </c>
    </row>
    <row r="50" spans="7:18" ht="15.75" thickTop="1">
      <c r="G50" s="5"/>
      <c r="Q50" s="7"/>
      <c r="R50"/>
    </row>
    <row r="51" spans="2:18" ht="36.75" thickBot="1">
      <c r="B51" s="4" t="s">
        <v>51</v>
      </c>
      <c r="C51" s="5" t="s">
        <v>2</v>
      </c>
      <c r="D51" s="5" t="s">
        <v>3</v>
      </c>
      <c r="G51" s="5"/>
      <c r="I51" s="6" t="s">
        <v>139</v>
      </c>
      <c r="J51" s="6" t="s">
        <v>140</v>
      </c>
      <c r="K51" s="6" t="s">
        <v>141</v>
      </c>
      <c r="L51" s="6" t="s">
        <v>142</v>
      </c>
      <c r="M51" s="6" t="s">
        <v>143</v>
      </c>
      <c r="N51" s="6" t="s">
        <v>144</v>
      </c>
      <c r="O51" s="6" t="s">
        <v>145</v>
      </c>
      <c r="P51" s="6" t="s">
        <v>146</v>
      </c>
      <c r="Q51" s="7"/>
      <c r="R51"/>
    </row>
    <row r="52" spans="2:18" ht="14.25" thickBot="1" thickTop="1">
      <c r="B52" s="3" t="s">
        <v>52</v>
      </c>
      <c r="C52" s="16">
        <v>49</v>
      </c>
      <c r="D52" s="3" t="str">
        <f>IF(AND(C52&lt;C49,C52&gt;=0,C52&lt;256,C52&gt;=C55),"LHT= 0x"&amp;IF(C52&lt;16,"0","")&amp;DEC2HEX(C52),"ERROR")</f>
        <v>LHT= 0x31</v>
      </c>
      <c r="G52" s="5" t="s">
        <v>69</v>
      </c>
      <c r="I52" s="12">
        <f>INT(C52/128)</f>
        <v>0</v>
      </c>
      <c r="J52" s="11">
        <f>INT((C52-128*I52)/64)</f>
        <v>0</v>
      </c>
      <c r="K52" s="11">
        <f>INT((C52-128*I52-64*J52)/32)</f>
        <v>1</v>
      </c>
      <c r="L52" s="11">
        <f>INT((C52-128*I52-64*J52-32*K52)/16)</f>
        <v>1</v>
      </c>
      <c r="M52" s="12">
        <f>INT((C52-128*I52-64*J52-32*K52-16*L52)/8)</f>
        <v>0</v>
      </c>
      <c r="N52" s="11">
        <f>INT((C52-128*I52-64*J52-32*K52-16*L52-8*M52)/4)</f>
        <v>0</v>
      </c>
      <c r="O52" s="11">
        <f>INT((C52-128*I52-64*J52-32*K52-16*L52-8*M52-4*N52)/2)</f>
        <v>0</v>
      </c>
      <c r="P52" s="13">
        <f>INT((C52-128*I52-64*J52-32*K52-16*L52-8*M52-4*N52-2*O52)/1)</f>
        <v>1</v>
      </c>
      <c r="Q52" s="7" t="str">
        <f>IF(C52&lt;16,"0x0","0x")&amp;DEC2HEX(C52)</f>
        <v>0x31</v>
      </c>
      <c r="R52" s="7" t="s">
        <v>14</v>
      </c>
    </row>
    <row r="53" spans="2:18" ht="15.75" thickTop="1">
      <c r="B53" s="2"/>
      <c r="G53" s="5"/>
      <c r="Q53" s="7"/>
      <c r="R53"/>
    </row>
    <row r="54" spans="2:18" ht="34.5" thickBot="1">
      <c r="B54" s="4" t="s">
        <v>53</v>
      </c>
      <c r="C54" s="5" t="s">
        <v>2</v>
      </c>
      <c r="D54" s="5" t="s">
        <v>3</v>
      </c>
      <c r="G54" s="5"/>
      <c r="I54" s="6" t="s">
        <v>147</v>
      </c>
      <c r="J54" s="6" t="s">
        <v>148</v>
      </c>
      <c r="K54" s="6" t="s">
        <v>149</v>
      </c>
      <c r="L54" s="6" t="s">
        <v>150</v>
      </c>
      <c r="M54" s="6" t="s">
        <v>151</v>
      </c>
      <c r="N54" s="6" t="s">
        <v>152</v>
      </c>
      <c r="O54" s="6" t="s">
        <v>153</v>
      </c>
      <c r="P54" s="6" t="s">
        <v>154</v>
      </c>
      <c r="Q54" s="7"/>
      <c r="R54"/>
    </row>
    <row r="55" spans="2:18" ht="14.25" thickBot="1" thickTop="1">
      <c r="B55" s="3" t="s">
        <v>54</v>
      </c>
      <c r="C55" s="16">
        <v>16</v>
      </c>
      <c r="D55" s="3" t="str">
        <f>IF(AND(C55&gt;=0,C55&lt;256,C52&gt;=C55),"LLT= 0x"&amp;IF(C55&lt;16,"0","")&amp;DEC2HEX(C55),"ERROR")</f>
        <v>LLT= 0x10</v>
      </c>
      <c r="G55" s="5" t="s">
        <v>70</v>
      </c>
      <c r="I55" s="12">
        <f>INT(C55/128)</f>
        <v>0</v>
      </c>
      <c r="J55" s="11">
        <f>INT((C55-128*I55)/64)</f>
        <v>0</v>
      </c>
      <c r="K55" s="11">
        <f>INT((C55-128*I55-64*J55)/32)</f>
        <v>0</v>
      </c>
      <c r="L55" s="11">
        <f>INT((C55-128*I55-64*J55-32*K55)/16)</f>
        <v>1</v>
      </c>
      <c r="M55" s="12">
        <f>INT((C55-128*I55-64*J55-32*K55-16*L55)/8)</f>
        <v>0</v>
      </c>
      <c r="N55" s="11">
        <f>INT((C55-128*I55-64*J55-32*K55-16*L55-8*M55)/4)</f>
        <v>0</v>
      </c>
      <c r="O55" s="11">
        <f>INT((C55-128*I55-64*J55-32*K55-16*L55-8*M55-4*N55)/2)</f>
        <v>0</v>
      </c>
      <c r="P55" s="13">
        <f>INT((C55-128*I55-64*J55-32*K55-16*L55-8*M55-4*N55-2*O55)/1)</f>
        <v>0</v>
      </c>
      <c r="Q55" s="7" t="str">
        <f>IF(C55&lt;16,"0x0","0x")&amp;DEC2HEX(C55)</f>
        <v>0x10</v>
      </c>
      <c r="R55" s="7" t="s">
        <v>14</v>
      </c>
    </row>
    <row r="56" spans="2:18" ht="15.75" thickTop="1">
      <c r="B56" s="2"/>
      <c r="G56" s="5"/>
      <c r="Q56" s="7"/>
      <c r="R56"/>
    </row>
    <row r="57" spans="2:18" ht="33.75" thickBot="1">
      <c r="B57" s="4" t="s">
        <v>55</v>
      </c>
      <c r="C57" s="5" t="s">
        <v>2</v>
      </c>
      <c r="D57" s="5" t="s">
        <v>3</v>
      </c>
      <c r="G57" s="5"/>
      <c r="I57" s="6" t="s">
        <v>155</v>
      </c>
      <c r="J57" s="6" t="s">
        <v>156</v>
      </c>
      <c r="K57" s="6" t="s">
        <v>157</v>
      </c>
      <c r="L57" s="6" t="s">
        <v>158</v>
      </c>
      <c r="M57" s="6" t="s">
        <v>159</v>
      </c>
      <c r="N57" s="6" t="s">
        <v>160</v>
      </c>
      <c r="O57" s="6" t="s">
        <v>161</v>
      </c>
      <c r="P57" s="6" t="s">
        <v>162</v>
      </c>
      <c r="Q57" s="7"/>
      <c r="R57"/>
    </row>
    <row r="58" spans="2:18" ht="13.5" thickBot="1" thickTop="1">
      <c r="B58" s="3" t="s">
        <v>56</v>
      </c>
      <c r="C58" s="16">
        <v>200</v>
      </c>
      <c r="D58" s="3" t="str">
        <f>IF(AND(C58&gt;=0,C58&lt;256),"WTT= 0x"&amp;IF(C58&lt;0,"0","")&amp;DEC2HEX(C58),"ERROR")</f>
        <v>WTT= 0xC8</v>
      </c>
      <c r="G58" s="5" t="s">
        <v>71</v>
      </c>
      <c r="I58" s="12">
        <f>INT(C58/128)</f>
        <v>1</v>
      </c>
      <c r="J58" s="11">
        <f>INT((C58-128*I58)/64)</f>
        <v>1</v>
      </c>
      <c r="K58" s="11">
        <f>INT((C58-128*I58-64*J58)/32)</f>
        <v>0</v>
      </c>
      <c r="L58" s="11">
        <f>INT((C58-128*I58-64*J58-32*K58)/16)</f>
        <v>0</v>
      </c>
      <c r="M58" s="12">
        <f>INT((C58-128*I58-64*J58-32*K58-16*L58)/8)</f>
        <v>1</v>
      </c>
      <c r="N58" s="11">
        <f>INT((C58-128*I58-64*J58-32*K58-16*L58-8*M58)/4)</f>
        <v>0</v>
      </c>
      <c r="O58" s="11">
        <f>INT((C58-128*I58-64*J58-32*K58-16*L58-8*M58-4*N58)/2)</f>
        <v>0</v>
      </c>
      <c r="P58" s="13">
        <f>INT((C58-128*I58-64*J58-32*K58-16*L58-8*M58-4*N58-2*O58)/1)</f>
        <v>0</v>
      </c>
      <c r="Q58" s="7" t="str">
        <f>IF(C58&lt;16,"0x0","0x")&amp;DEC2HEX(C58)</f>
        <v>0xC8</v>
      </c>
      <c r="R58" s="7" t="s">
        <v>130</v>
      </c>
    </row>
    <row r="59" spans="2:18" ht="15" thickTop="1">
      <c r="B59" s="2"/>
      <c r="G59" s="5"/>
      <c r="Q59" s="7"/>
      <c r="R59"/>
    </row>
    <row r="60" spans="2:18" ht="24" thickBot="1">
      <c r="B60" s="4" t="s">
        <v>57</v>
      </c>
      <c r="C60" s="5" t="s">
        <v>2</v>
      </c>
      <c r="D60" s="5" t="s">
        <v>3</v>
      </c>
      <c r="G60" s="5"/>
      <c r="I60" s="6"/>
      <c r="J60" s="6" t="s">
        <v>163</v>
      </c>
      <c r="K60" s="6" t="s">
        <v>164</v>
      </c>
      <c r="L60" s="6" t="s">
        <v>165</v>
      </c>
      <c r="M60" s="6" t="s">
        <v>166</v>
      </c>
      <c r="N60" s="6" t="s">
        <v>167</v>
      </c>
      <c r="O60" s="6" t="s">
        <v>168</v>
      </c>
      <c r="P60" s="6" t="s">
        <v>169</v>
      </c>
      <c r="Q60" s="7"/>
      <c r="R60"/>
    </row>
    <row r="61" spans="2:18" ht="13.5" thickBot="1" thickTop="1">
      <c r="B61" s="3" t="s">
        <v>58</v>
      </c>
      <c r="C61" s="16">
        <v>0</v>
      </c>
      <c r="D61" s="3" t="str">
        <f>IF(AND(C61&gt;=0,C61&lt;2),IF(C61=0,"1 Ch Sleep","2 Ch Sleep"),"ERROR")</f>
        <v>1 Ch Sleep</v>
      </c>
      <c r="G61" s="5" t="s">
        <v>72</v>
      </c>
      <c r="I61" s="12" t="str">
        <f>"X"</f>
        <v>X</v>
      </c>
      <c r="J61" s="11">
        <f>C61</f>
        <v>0</v>
      </c>
      <c r="K61" s="11">
        <f>INT(C62/4)</f>
        <v>1</v>
      </c>
      <c r="L61" s="11">
        <f>INT((C62-K61*4)/2)</f>
        <v>0</v>
      </c>
      <c r="M61" s="12">
        <f>INT(C62-4*K61-2*L61)</f>
        <v>0</v>
      </c>
      <c r="N61" s="11">
        <f>INT(C63/4)</f>
        <v>1</v>
      </c>
      <c r="O61" s="11">
        <f>INT((C63-4*N61)/2)</f>
        <v>1</v>
      </c>
      <c r="P61" s="13">
        <f>INT(C63-4*N61-2*O61)</f>
        <v>1</v>
      </c>
      <c r="Q61" s="7" t="str">
        <f>IF((P61+2*O61+4*N61+8*M61+16*L61+32*K61+64*J61)&lt;16,"0x0","0x")&amp;DEC2HEX(P61+2*O61+4*N61+8*M61+16*L61+32*K61+64*J61)</f>
        <v>0x27</v>
      </c>
      <c r="R61" s="7" t="s">
        <v>14</v>
      </c>
    </row>
    <row r="62" spans="2:4" ht="12.75" thickTop="1">
      <c r="B62" s="3" t="s">
        <v>59</v>
      </c>
      <c r="C62" s="16">
        <v>4</v>
      </c>
      <c r="D62" s="3" t="str">
        <f>IF(AND(C62&gt;=0,C62&lt;8),"DP= 0x0"&amp;DEC2HEX(C62),"ERROR")</f>
        <v>DP= 0x04</v>
      </c>
    </row>
    <row r="63" spans="2:4" ht="12">
      <c r="B63" s="3" t="s">
        <v>60</v>
      </c>
      <c r="C63" s="16">
        <v>7</v>
      </c>
      <c r="D63" s="3" t="str">
        <f>IF(AND(C63&gt;=0,C63&lt;8),"CH= 0x0"&amp;DEC2HEX(C63),"ERROR")</f>
        <v>CH= 0x07</v>
      </c>
    </row>
  </sheetData>
  <sheetProtection password="CC71" sheet="1"/>
  <conditionalFormatting sqref="D1:D65536">
    <cfRule type="containsText" priority="1" dxfId="0" operator="containsText" stopIfTrue="1" text="ERROR">
      <formula>NOT(ISERROR(SEARCH("ERROR",D1)))</formula>
    </cfRule>
  </conditionalFormatting>
  <printOptions/>
  <pageMargins left="0.7" right="0.7" top="0.75" bottom="0.75" header="0.3" footer="0.3"/>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Patrik Kalbermatten</cp:lastModifiedBy>
  <dcterms:created xsi:type="dcterms:W3CDTF">2020-09-10T10:15:55Z</dcterms:created>
  <dcterms:modified xsi:type="dcterms:W3CDTF">2020-10-30T04:52:50Z</dcterms:modified>
  <cp:category/>
  <cp:version/>
  <cp:contentType/>
  <cp:contentStatus/>
</cp:coreProperties>
</file>